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roshiy\Dropbox (Ayudante, Inc.)\ExternalProjects\EVsmart\content\"/>
    </mc:Choice>
  </mc:AlternateContent>
  <bookViews>
    <workbookView xWindow="0" yWindow="0" windowWidth="25605" windowHeight="10965"/>
  </bookViews>
  <sheets>
    <sheet name="20160716 福井往復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D24" i="1" l="1"/>
  <c r="D23" i="1"/>
  <c r="F23" i="1"/>
  <c r="F24" i="1" l="1"/>
  <c r="F22" i="1"/>
  <c r="G20" i="1"/>
  <c r="F20" i="1"/>
  <c r="F19" i="1"/>
  <c r="G19" i="1"/>
  <c r="F14" i="1"/>
  <c r="F17" i="1"/>
  <c r="F16" i="1"/>
  <c r="D13" i="1"/>
  <c r="D14" i="1" s="1"/>
  <c r="E14" i="1" s="1"/>
  <c r="D15" i="1" l="1"/>
  <c r="D16" i="1" s="1"/>
  <c r="D17" i="1" s="1"/>
  <c r="J14" i="1"/>
  <c r="F3" i="1"/>
  <c r="E3" i="1"/>
  <c r="E4" i="1"/>
  <c r="D18" i="1" l="1"/>
  <c r="D19" i="1" s="1"/>
  <c r="E17" i="1"/>
  <c r="J17" i="1" s="1"/>
  <c r="J3" i="1"/>
  <c r="K3" i="1" s="1"/>
  <c r="H3" i="1"/>
  <c r="I3" i="1" s="1"/>
  <c r="H4" i="1" s="1"/>
  <c r="I4" i="1" s="1"/>
  <c r="E18" i="1"/>
  <c r="J18" i="1" s="1"/>
  <c r="E16" i="1"/>
  <c r="J16" i="1" s="1"/>
  <c r="J4" i="1"/>
  <c r="E12" i="1"/>
  <c r="E11" i="1"/>
  <c r="J11" i="1" s="1"/>
  <c r="F11" i="1"/>
  <c r="K4" i="1" l="1"/>
  <c r="E19" i="1"/>
  <c r="J19" i="1" s="1"/>
  <c r="D20" i="1"/>
  <c r="J20" i="1"/>
  <c r="E15" i="1"/>
  <c r="J15" i="1" s="1"/>
  <c r="K15" i="1" s="1"/>
  <c r="E13" i="1"/>
  <c r="J13" i="1" s="1"/>
  <c r="F13" i="1"/>
  <c r="F8" i="1"/>
  <c r="F5" i="1"/>
  <c r="E9" i="1"/>
  <c r="J9" i="1" s="1"/>
  <c r="E10" i="1"/>
  <c r="J10" i="1" s="1"/>
  <c r="J12" i="1"/>
  <c r="E8" i="1"/>
  <c r="J8" i="1" s="1"/>
  <c r="E7" i="1"/>
  <c r="J7" i="1" s="1"/>
  <c r="E6" i="1"/>
  <c r="J6" i="1" s="1"/>
  <c r="E5" i="1"/>
  <c r="J5" i="1" s="1"/>
  <c r="H5" i="1" l="1"/>
  <c r="I5" i="1" s="1"/>
  <c r="D22" i="1"/>
  <c r="F6" i="1"/>
  <c r="F7" i="1"/>
  <c r="F9" i="1"/>
  <c r="F10" i="1"/>
  <c r="F12" i="1"/>
  <c r="F15" i="1"/>
  <c r="F4" i="1"/>
  <c r="E24" i="1" l="1"/>
  <c r="E23" i="1"/>
  <c r="J23" i="1" s="1"/>
  <c r="K23" i="1" s="1"/>
  <c r="H6" i="1"/>
  <c r="E22" i="1"/>
  <c r="J22" i="1" s="1"/>
  <c r="K5" i="1"/>
  <c r="K6" i="1" s="1"/>
  <c r="K7" i="1" s="1"/>
  <c r="K8" i="1" s="1"/>
  <c r="K9" i="1" s="1"/>
  <c r="K10" i="1" s="1"/>
  <c r="J24" i="1" l="1"/>
  <c r="K24" i="1" s="1"/>
  <c r="D25" i="1"/>
  <c r="E25" i="1" s="1"/>
  <c r="J25" i="1" s="1"/>
  <c r="I6" i="1"/>
  <c r="H7" i="1" s="1"/>
  <c r="I7" i="1" s="1"/>
  <c r="K11" i="1"/>
  <c r="K12" i="1" s="1"/>
  <c r="K13" i="1" s="1"/>
  <c r="K25" i="1" l="1"/>
  <c r="H8" i="1"/>
  <c r="I8" i="1" s="1"/>
  <c r="K16" i="1"/>
  <c r="K17" i="1" s="1"/>
  <c r="K18" i="1" s="1"/>
  <c r="K19" i="1" s="1"/>
  <c r="H9" i="1" l="1"/>
  <c r="I9" i="1" s="1"/>
  <c r="H10" i="1" l="1"/>
  <c r="I10" i="1" l="1"/>
  <c r="H11" i="1" s="1"/>
  <c r="I11" i="1" s="1"/>
  <c r="H12" i="1" s="1"/>
  <c r="I12" i="1" s="1"/>
  <c r="H13" i="1" l="1"/>
  <c r="I13" i="1" l="1"/>
  <c r="H14" i="1" s="1"/>
  <c r="I14" i="1" l="1"/>
  <c r="H15" i="1" s="1"/>
  <c r="I15" i="1" l="1"/>
  <c r="H16" i="1" s="1"/>
  <c r="I16" i="1" s="1"/>
  <c r="H17" i="1" s="1"/>
  <c r="I17" i="1" s="1"/>
  <c r="H18" i="1" s="1"/>
  <c r="I18" i="1" s="1"/>
  <c r="H19" i="1" s="1"/>
  <c r="I19" i="1" l="1"/>
  <c r="H20" i="1" s="1"/>
  <c r="I20" i="1" s="1"/>
  <c r="H22" i="1" l="1"/>
  <c r="I22" i="1" s="1"/>
  <c r="H23" i="1" s="1"/>
  <c r="I23" i="1" s="1"/>
  <c r="I24" i="1" s="1"/>
  <c r="H25" i="1" l="1"/>
  <c r="I25" i="1" s="1"/>
</calcChain>
</file>

<file path=xl/sharedStrings.xml><?xml version="1.0" encoding="utf-8"?>
<sst xmlns="http://schemas.openxmlformats.org/spreadsheetml/2006/main" count="43" uniqueCount="41">
  <si>
    <t>駿河湾沼津</t>
    <rPh sb="0" eb="3">
      <t>スルガワン</t>
    </rPh>
    <rPh sb="3" eb="5">
      <t>ヌマヅ</t>
    </rPh>
    <phoneticPr fontId="1"/>
  </si>
  <si>
    <t>静岡</t>
    <rPh sb="0" eb="2">
      <t>シズオカ</t>
    </rPh>
    <phoneticPr fontId="1"/>
  </si>
  <si>
    <t>浜松</t>
    <rPh sb="0" eb="2">
      <t>ハママツ</t>
    </rPh>
    <phoneticPr fontId="1"/>
  </si>
  <si>
    <t>刈谷</t>
    <rPh sb="0" eb="2">
      <t>カリヤ</t>
    </rPh>
    <phoneticPr fontId="1"/>
  </si>
  <si>
    <t>充電器出力</t>
    <rPh sb="0" eb="3">
      <t>ジュウデンキ</t>
    </rPh>
    <rPh sb="3" eb="5">
      <t>シュツリョク</t>
    </rPh>
    <phoneticPr fontId="1"/>
  </si>
  <si>
    <t>kp</t>
    <phoneticPr fontId="1"/>
  </si>
  <si>
    <t>1分あたり充電距離</t>
    <rPh sb="1" eb="2">
      <t>フン</t>
    </rPh>
    <rPh sb="5" eb="7">
      <t>ジュウデン</t>
    </rPh>
    <rPh sb="7" eb="9">
      <t>キョリ</t>
    </rPh>
    <phoneticPr fontId="1"/>
  </si>
  <si>
    <t>標準値</t>
    <rPh sb="0" eb="3">
      <t>ヒョウジュンチ</t>
    </rPh>
    <phoneticPr fontId="1"/>
  </si>
  <si>
    <t>diff</t>
    <phoneticPr fontId="1"/>
  </si>
  <si>
    <t>余裕</t>
    <rPh sb="0" eb="2">
      <t>ヨユウ</t>
    </rPh>
    <phoneticPr fontId="1"/>
  </si>
  <si>
    <t>充電時間(分)</t>
    <rPh sb="0" eb="2">
      <t>ジュウデン</t>
    </rPh>
    <rPh sb="2" eb="4">
      <t>ジカン</t>
    </rPh>
    <rPh sb="5" eb="6">
      <t>フン</t>
    </rPh>
    <phoneticPr fontId="1"/>
  </si>
  <si>
    <t>所要時間</t>
    <rPh sb="0" eb="2">
      <t>ショヨウ</t>
    </rPh>
    <rPh sb="2" eb="4">
      <t>ジカン</t>
    </rPh>
    <phoneticPr fontId="1"/>
  </si>
  <si>
    <t>平均速度</t>
    <rPh sb="0" eb="2">
      <t>ヘイキン</t>
    </rPh>
    <rPh sb="2" eb="4">
      <t>ソクド</t>
    </rPh>
    <phoneticPr fontId="1"/>
  </si>
  <si>
    <t>充電後</t>
    <rPh sb="0" eb="2">
      <t>ジュウデン</t>
    </rPh>
    <rPh sb="2" eb="3">
      <t>ゴ</t>
    </rPh>
    <phoneticPr fontId="1"/>
  </si>
  <si>
    <t>到着予想</t>
    <rPh sb="0" eb="2">
      <t>トウチャク</t>
    </rPh>
    <rPh sb="2" eb="4">
      <t>ヨソウ</t>
    </rPh>
    <phoneticPr fontId="1"/>
  </si>
  <si>
    <t>※余裕は、夏は10%、冬は30%を入れてください。平均速度は巡航速度の2割くらい引いて入れてください。</t>
    <rPh sb="1" eb="3">
      <t>ヨユウ</t>
    </rPh>
    <rPh sb="5" eb="6">
      <t>ナツ</t>
    </rPh>
    <rPh sb="11" eb="12">
      <t>フユ</t>
    </rPh>
    <rPh sb="17" eb="18">
      <t>イ</t>
    </rPh>
    <rPh sb="25" eb="27">
      <t>ヘイキン</t>
    </rPh>
    <rPh sb="27" eb="29">
      <t>ソクド</t>
    </rPh>
    <rPh sb="30" eb="32">
      <t>ジュンコウ</t>
    </rPh>
    <rPh sb="32" eb="34">
      <t>ソクド</t>
    </rPh>
    <rPh sb="36" eb="37">
      <t>ワリ</t>
    </rPh>
    <rPh sb="40" eb="41">
      <t>ヒ</t>
    </rPh>
    <rPh sb="43" eb="44">
      <t>イ</t>
    </rPh>
    <phoneticPr fontId="1"/>
  </si>
  <si>
    <t>※標準値が赤にも緑にもならないように充電してください。</t>
    <rPh sb="1" eb="4">
      <t>ヒョウジュンチ</t>
    </rPh>
    <rPh sb="5" eb="6">
      <t>アカ</t>
    </rPh>
    <rPh sb="8" eb="9">
      <t>ミドリ</t>
    </rPh>
    <rPh sb="18" eb="20">
      <t>ジュウデン</t>
    </rPh>
    <phoneticPr fontId="1"/>
  </si>
  <si>
    <t>※充電時間が赤になる場合、中速充電器を使用し充電時間が伸びています。黄色の場合、その充電器は飛ばせないことを意味します。</t>
    <rPh sb="1" eb="3">
      <t>ジュウデン</t>
    </rPh>
    <rPh sb="3" eb="5">
      <t>ジカン</t>
    </rPh>
    <rPh sb="6" eb="7">
      <t>アカ</t>
    </rPh>
    <rPh sb="10" eb="12">
      <t>バアイ</t>
    </rPh>
    <rPh sb="13" eb="15">
      <t>チュウソク</t>
    </rPh>
    <rPh sb="15" eb="18">
      <t>ジュウデンキ</t>
    </rPh>
    <rPh sb="19" eb="21">
      <t>シヨウ</t>
    </rPh>
    <rPh sb="22" eb="24">
      <t>ジュウデン</t>
    </rPh>
    <rPh sb="24" eb="26">
      <t>ジカン</t>
    </rPh>
    <rPh sb="27" eb="28">
      <t>ノ</t>
    </rPh>
    <rPh sb="34" eb="36">
      <t>キイロ</t>
    </rPh>
    <rPh sb="37" eb="39">
      <t>バアイ</t>
    </rPh>
    <rPh sb="42" eb="44">
      <t>ジュウデン</t>
    </rPh>
    <rPh sb="44" eb="45">
      <t>キ</t>
    </rPh>
    <rPh sb="46" eb="47">
      <t>ト</t>
    </rPh>
    <rPh sb="54" eb="56">
      <t>イミ</t>
    </rPh>
    <phoneticPr fontId="1"/>
  </si>
  <si>
    <t>中井</t>
    <rPh sb="0" eb="2">
      <t>ナカイ</t>
    </rPh>
    <phoneticPr fontId="1"/>
  </si>
  <si>
    <t>清水</t>
    <rPh sb="0" eb="2">
      <t>シミズ</t>
    </rPh>
    <phoneticPr fontId="1"/>
  </si>
  <si>
    <t>海老名x2</t>
    <rPh sb="0" eb="3">
      <t>エビナ</t>
    </rPh>
    <phoneticPr fontId="1"/>
  </si>
  <si>
    <t>足柄x2</t>
    <rPh sb="0" eb="2">
      <t>アシガラ</t>
    </rPh>
    <phoneticPr fontId="1"/>
  </si>
  <si>
    <t>岡崎x2</t>
    <rPh sb="0" eb="2">
      <t>オカザキ</t>
    </rPh>
    <phoneticPr fontId="1"/>
  </si>
  <si>
    <t>港北</t>
    <rPh sb="0" eb="2">
      <t>コウホク</t>
    </rPh>
    <phoneticPr fontId="1"/>
  </si>
  <si>
    <t>ランチ</t>
    <phoneticPr fontId="1"/>
  </si>
  <si>
    <t>休憩</t>
    <rPh sb="0" eb="2">
      <t>キュウケイ</t>
    </rPh>
    <phoneticPr fontId="1"/>
  </si>
  <si>
    <t>実家</t>
    <rPh sb="0" eb="2">
      <t>ジッカ</t>
    </rPh>
    <phoneticPr fontId="1"/>
  </si>
  <si>
    <t>養老SA</t>
    <rPh sb="0" eb="2">
      <t>ヨウロウ</t>
    </rPh>
    <phoneticPr fontId="1"/>
  </si>
  <si>
    <t>賤ヶ岳SA</t>
    <rPh sb="0" eb="3">
      <t>シズガタケ</t>
    </rPh>
    <phoneticPr fontId="1"/>
  </si>
  <si>
    <t>南条SA</t>
    <rPh sb="0" eb="2">
      <t>ナンジョウ</t>
    </rPh>
    <phoneticPr fontId="1"/>
  </si>
  <si>
    <t>宿泊</t>
    <rPh sb="0" eb="2">
      <t>シュクハク</t>
    </rPh>
    <phoneticPr fontId="1"/>
  </si>
  <si>
    <t>浜松SC</t>
    <rPh sb="0" eb="2">
      <t>ハママツ</t>
    </rPh>
    <phoneticPr fontId="1"/>
  </si>
  <si>
    <t>宿泊@名古屋</t>
    <rPh sb="0" eb="2">
      <t>シュクハク</t>
    </rPh>
    <rPh sb="3" eb="6">
      <t>ナゴヤ</t>
    </rPh>
    <phoneticPr fontId="1"/>
  </si>
  <si>
    <t>宿泊@福井</t>
    <rPh sb="0" eb="2">
      <t>シュクハク</t>
    </rPh>
    <rPh sb="3" eb="5">
      <t>フクイ</t>
    </rPh>
    <phoneticPr fontId="1"/>
  </si>
  <si>
    <t>宿泊@石川</t>
    <rPh sb="0" eb="2">
      <t>シュクハク</t>
    </rPh>
    <rPh sb="3" eb="5">
      <t>イシカワ</t>
    </rPh>
    <phoneticPr fontId="1"/>
  </si>
  <si>
    <t>【往路】</t>
    <rPh sb="1" eb="3">
      <t>オウロ</t>
    </rPh>
    <phoneticPr fontId="1"/>
  </si>
  <si>
    <t>【帰路】</t>
    <rPh sb="1" eb="3">
      <t>キロ</t>
    </rPh>
    <phoneticPr fontId="1"/>
  </si>
  <si>
    <t>自宅</t>
    <rPh sb="0" eb="2">
      <t>ジタク</t>
    </rPh>
    <phoneticPr fontId="1"/>
  </si>
  <si>
    <t>尾張一宮PA</t>
    <rPh sb="0" eb="4">
      <t>オワリイチノミヤ</t>
    </rPh>
    <phoneticPr fontId="1"/>
  </si>
  <si>
    <t>ランチ</t>
    <phoneticPr fontId="1"/>
  </si>
  <si>
    <t>休憩</t>
    <rPh sb="0" eb="2">
      <t>キュウケイ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</si>
</sst>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7" formatCode="0.0_);[Red]\(0.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20" fontId="2" fillId="0" borderId="6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176" fontId="2" fillId="0" borderId="7" xfId="0" applyNumberFormat="1" applyFont="1" applyBorder="1">
      <alignment vertical="center"/>
    </xf>
    <xf numFmtId="20" fontId="2" fillId="0" borderId="7" xfId="0" applyNumberFormat="1" applyFont="1" applyBorder="1">
      <alignment vertical="center"/>
    </xf>
    <xf numFmtId="9" fontId="2" fillId="0" borderId="3" xfId="0" applyNumberFormat="1" applyFont="1" applyBorder="1">
      <alignment vertical="center"/>
    </xf>
    <xf numFmtId="0" fontId="2" fillId="0" borderId="0" xfId="0" applyFont="1" applyBorder="1">
      <alignment vertical="center"/>
    </xf>
    <xf numFmtId="177" fontId="2" fillId="0" borderId="1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2" fillId="0" borderId="8" xfId="0" applyFont="1" applyBorder="1">
      <alignment vertical="center"/>
    </xf>
  </cellXfs>
  <cellStyles count="1">
    <cellStyle name="標準" xfId="0" builtinId="0"/>
  </cellStyles>
  <dxfs count="32"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4" zoomScaleNormal="100" workbookViewId="0">
      <selection activeCell="I24" sqref="I24"/>
    </sheetView>
  </sheetViews>
  <sheetFormatPr defaultColWidth="8.875" defaultRowHeight="16.5" x14ac:dyDescent="0.15"/>
  <cols>
    <col min="1" max="1" width="4.625" style="1" customWidth="1"/>
    <col min="2" max="2" width="13.125" style="1" bestFit="1" customWidth="1"/>
    <col min="3" max="3" width="11.25" style="1" bestFit="1" customWidth="1"/>
    <col min="4" max="4" width="8.125" style="17" bestFit="1" customWidth="1"/>
    <col min="5" max="5" width="7.125" style="17" bestFit="1" customWidth="1"/>
    <col min="6" max="6" width="16.125" style="1" bestFit="1" customWidth="1"/>
    <col min="7" max="7" width="11.25" style="1" bestFit="1" customWidth="1"/>
    <col min="8" max="9" width="8.5" style="1" bestFit="1" customWidth="1"/>
    <col min="10" max="11" width="9.25" style="1" bestFit="1" customWidth="1"/>
    <col min="12" max="12" width="11.25" style="1" bestFit="1" customWidth="1"/>
    <col min="13" max="13" width="4.625" style="1" customWidth="1"/>
    <col min="14" max="14" width="9.25" style="1" bestFit="1" customWidth="1"/>
    <col min="15" max="15" width="5.875" style="1" bestFit="1" customWidth="1"/>
    <col min="16" max="16384" width="8.875" style="1"/>
  </cols>
  <sheetData>
    <row r="1" spans="1:15" ht="18" customHeight="1" x14ac:dyDescent="0.15">
      <c r="A1" s="2"/>
      <c r="B1" s="5"/>
      <c r="C1" s="5" t="s">
        <v>4</v>
      </c>
      <c r="D1" s="14" t="s">
        <v>5</v>
      </c>
      <c r="E1" s="14" t="s">
        <v>8</v>
      </c>
      <c r="F1" s="5" t="s">
        <v>6</v>
      </c>
      <c r="G1" s="5" t="s">
        <v>10</v>
      </c>
      <c r="H1" s="5" t="s">
        <v>7</v>
      </c>
      <c r="I1" s="5" t="s">
        <v>13</v>
      </c>
      <c r="J1" s="5" t="s">
        <v>11</v>
      </c>
      <c r="K1" s="5" t="s">
        <v>14</v>
      </c>
      <c r="L1" s="5"/>
    </row>
    <row r="2" spans="1:15" ht="18" customHeight="1" x14ac:dyDescent="0.15">
      <c r="A2" s="18"/>
      <c r="B2" s="6" t="s">
        <v>35</v>
      </c>
      <c r="C2" s="6"/>
      <c r="D2" s="15">
        <v>-6.4</v>
      </c>
      <c r="E2" s="15"/>
      <c r="F2" s="6"/>
      <c r="G2" s="6"/>
      <c r="H2" s="6"/>
      <c r="I2" s="6">
        <v>330</v>
      </c>
      <c r="J2" s="6"/>
      <c r="K2" s="7">
        <v>0.5</v>
      </c>
      <c r="L2" s="7"/>
      <c r="N2" s="2" t="s">
        <v>9</v>
      </c>
      <c r="O2" s="12">
        <v>0</v>
      </c>
    </row>
    <row r="3" spans="1:15" ht="18" customHeight="1" x14ac:dyDescent="0.15">
      <c r="A3" s="18"/>
      <c r="B3" s="6" t="s">
        <v>23</v>
      </c>
      <c r="C3" s="6">
        <v>40</v>
      </c>
      <c r="D3" s="15">
        <v>14.1</v>
      </c>
      <c r="E3" s="15">
        <f t="shared" ref="E3:E8" si="0">D3-D2</f>
        <v>20.5</v>
      </c>
      <c r="F3" s="6">
        <f>C3*0.9/60*5</f>
        <v>3</v>
      </c>
      <c r="G3" s="6"/>
      <c r="H3" s="6">
        <f>ROUNDDOWN(I2-E3*(1+$O$2),1)</f>
        <v>309.5</v>
      </c>
      <c r="I3" s="6">
        <f>ROUNDDOWN(H3+IF(ISBLANK(G3),0,F3*G3),1)</f>
        <v>309.5</v>
      </c>
      <c r="J3" s="8">
        <f t="shared" ref="J3:J15" si="1">TIME(0,E3/$O$3*60,0)</f>
        <v>9.7222222222222224E-3</v>
      </c>
      <c r="K3" s="7">
        <f t="shared" ref="K3:K11" si="2">K2+TIME(0,G2,0)+J3</f>
        <v>0.50972222222222219</v>
      </c>
      <c r="L3" s="7"/>
      <c r="N3" s="3" t="s">
        <v>12</v>
      </c>
      <c r="O3" s="4">
        <v>85</v>
      </c>
    </row>
    <row r="4" spans="1:15" ht="18" customHeight="1" x14ac:dyDescent="0.15">
      <c r="A4" s="18"/>
      <c r="B4" s="6" t="s">
        <v>20</v>
      </c>
      <c r="C4" s="6">
        <v>40</v>
      </c>
      <c r="D4" s="15">
        <v>31.3</v>
      </c>
      <c r="E4" s="15">
        <f t="shared" si="0"/>
        <v>17.200000000000003</v>
      </c>
      <c r="F4" s="6">
        <f>C4*0.9/60*5</f>
        <v>3</v>
      </c>
      <c r="G4" s="6"/>
      <c r="H4" s="6">
        <f t="shared" ref="H4:H23" si="3">ROUNDDOWN(I3-E4*(1+$O$2),1)</f>
        <v>292.3</v>
      </c>
      <c r="I4" s="6">
        <f t="shared" ref="I4:I23" si="4">ROUNDDOWN(H4+IF(ISBLANK(G4),0,F4*G4),1)</f>
        <v>292.3</v>
      </c>
      <c r="J4" s="8">
        <f t="shared" si="1"/>
        <v>8.3333333333333332E-3</v>
      </c>
      <c r="K4" s="7">
        <f t="shared" si="2"/>
        <v>0.51805555555555549</v>
      </c>
      <c r="L4" s="7"/>
    </row>
    <row r="5" spans="1:15" ht="18" customHeight="1" x14ac:dyDescent="0.15">
      <c r="A5" s="18"/>
      <c r="B5" s="6" t="s">
        <v>18</v>
      </c>
      <c r="C5" s="6">
        <v>50</v>
      </c>
      <c r="D5" s="15">
        <v>53.6</v>
      </c>
      <c r="E5" s="15">
        <f t="shared" si="0"/>
        <v>22.3</v>
      </c>
      <c r="F5" s="6">
        <f>C5*0.9/60*5</f>
        <v>3.75</v>
      </c>
      <c r="G5" s="6"/>
      <c r="H5" s="6">
        <f t="shared" si="3"/>
        <v>270</v>
      </c>
      <c r="I5" s="6">
        <f t="shared" si="4"/>
        <v>270</v>
      </c>
      <c r="J5" s="8">
        <f t="shared" si="1"/>
        <v>1.0416666666666666E-2</v>
      </c>
      <c r="K5" s="7">
        <f t="shared" si="2"/>
        <v>0.52847222222222212</v>
      </c>
      <c r="L5" s="7"/>
      <c r="N5" s="13"/>
      <c r="O5" s="13"/>
    </row>
    <row r="6" spans="1:15" ht="18" customHeight="1" x14ac:dyDescent="0.15">
      <c r="A6" s="18"/>
      <c r="B6" s="6" t="s">
        <v>21</v>
      </c>
      <c r="C6" s="6">
        <v>40</v>
      </c>
      <c r="D6" s="15">
        <v>80.900000000000006</v>
      </c>
      <c r="E6" s="15">
        <f t="shared" si="0"/>
        <v>27.300000000000004</v>
      </c>
      <c r="F6" s="6">
        <f t="shared" ref="F6:F15" si="5">C6*0.9/60*5</f>
        <v>3</v>
      </c>
      <c r="G6" s="6"/>
      <c r="H6" s="6">
        <f t="shared" si="3"/>
        <v>242.7</v>
      </c>
      <c r="I6" s="6">
        <f t="shared" si="4"/>
        <v>242.7</v>
      </c>
      <c r="J6" s="8">
        <f t="shared" si="1"/>
        <v>1.3194444444444444E-2</v>
      </c>
      <c r="K6" s="7">
        <f t="shared" si="2"/>
        <v>0.54166666666666652</v>
      </c>
      <c r="L6" s="7"/>
    </row>
    <row r="7" spans="1:15" ht="18" customHeight="1" x14ac:dyDescent="0.15">
      <c r="A7" s="18"/>
      <c r="B7" s="6" t="s">
        <v>0</v>
      </c>
      <c r="C7" s="6">
        <v>50</v>
      </c>
      <c r="D7" s="15">
        <v>107</v>
      </c>
      <c r="E7" s="15">
        <f t="shared" si="0"/>
        <v>26.099999999999994</v>
      </c>
      <c r="F7" s="6">
        <f t="shared" si="5"/>
        <v>3.75</v>
      </c>
      <c r="G7" s="6"/>
      <c r="H7" s="6">
        <f t="shared" si="3"/>
        <v>216.6</v>
      </c>
      <c r="I7" s="6">
        <f t="shared" si="4"/>
        <v>216.6</v>
      </c>
      <c r="J7" s="8">
        <f t="shared" si="1"/>
        <v>1.2499999999999999E-2</v>
      </c>
      <c r="K7" s="7">
        <f t="shared" si="2"/>
        <v>0.55416666666666647</v>
      </c>
      <c r="L7" s="7"/>
    </row>
    <row r="8" spans="1:15" ht="18" customHeight="1" x14ac:dyDescent="0.15">
      <c r="A8" s="18"/>
      <c r="B8" s="6" t="s">
        <v>19</v>
      </c>
      <c r="C8" s="6">
        <v>50</v>
      </c>
      <c r="D8" s="15">
        <v>138.19999999999999</v>
      </c>
      <c r="E8" s="15">
        <f t="shared" si="0"/>
        <v>31.199999999999989</v>
      </c>
      <c r="F8" s="6">
        <f>C8*0.9/60*5</f>
        <v>3.75</v>
      </c>
      <c r="G8" s="6">
        <v>30</v>
      </c>
      <c r="H8" s="6">
        <f t="shared" si="3"/>
        <v>185.4</v>
      </c>
      <c r="I8" s="6">
        <f t="shared" si="4"/>
        <v>297.89999999999998</v>
      </c>
      <c r="J8" s="8">
        <f t="shared" si="1"/>
        <v>1.5277777777777777E-2</v>
      </c>
      <c r="K8" s="7">
        <f t="shared" si="2"/>
        <v>0.5694444444444442</v>
      </c>
      <c r="L8" s="7" t="s">
        <v>24</v>
      </c>
    </row>
    <row r="9" spans="1:15" ht="18" customHeight="1" x14ac:dyDescent="0.15">
      <c r="A9" s="18"/>
      <c r="B9" s="6" t="s">
        <v>1</v>
      </c>
      <c r="C9" s="6">
        <v>50</v>
      </c>
      <c r="D9" s="15">
        <v>166</v>
      </c>
      <c r="E9" s="15">
        <f t="shared" ref="E9:E13" si="6">D9-D8</f>
        <v>27.800000000000011</v>
      </c>
      <c r="F9" s="6">
        <f t="shared" si="5"/>
        <v>3.75</v>
      </c>
      <c r="G9" s="6"/>
      <c r="H9" s="6">
        <f t="shared" si="3"/>
        <v>270.10000000000002</v>
      </c>
      <c r="I9" s="6">
        <f t="shared" si="4"/>
        <v>270.10000000000002</v>
      </c>
      <c r="J9" s="8">
        <f t="shared" si="1"/>
        <v>1.3194444444444444E-2</v>
      </c>
      <c r="K9" s="7">
        <f t="shared" si="2"/>
        <v>0.60347222222222197</v>
      </c>
      <c r="L9" s="7"/>
    </row>
    <row r="10" spans="1:15" ht="18" customHeight="1" x14ac:dyDescent="0.15">
      <c r="A10" s="18"/>
      <c r="B10" s="6" t="s">
        <v>2</v>
      </c>
      <c r="C10" s="6">
        <v>50</v>
      </c>
      <c r="D10" s="15">
        <v>223.5</v>
      </c>
      <c r="E10" s="15">
        <f t="shared" si="6"/>
        <v>57.5</v>
      </c>
      <c r="F10" s="6">
        <f t="shared" si="5"/>
        <v>3.75</v>
      </c>
      <c r="G10" s="6"/>
      <c r="H10" s="6">
        <f t="shared" si="3"/>
        <v>212.6</v>
      </c>
      <c r="I10" s="6">
        <f t="shared" si="4"/>
        <v>212.6</v>
      </c>
      <c r="J10" s="8">
        <f t="shared" si="1"/>
        <v>2.7777777777777776E-2</v>
      </c>
      <c r="K10" s="7">
        <f t="shared" si="2"/>
        <v>0.63124999999999976</v>
      </c>
      <c r="L10" s="7"/>
    </row>
    <row r="11" spans="1:15" ht="18" customHeight="1" x14ac:dyDescent="0.15">
      <c r="A11" s="18"/>
      <c r="B11" s="6" t="s">
        <v>22</v>
      </c>
      <c r="C11" s="6">
        <v>50</v>
      </c>
      <c r="D11" s="15">
        <v>285.3</v>
      </c>
      <c r="E11" s="15">
        <f t="shared" si="6"/>
        <v>61.800000000000011</v>
      </c>
      <c r="F11" s="6">
        <f t="shared" si="5"/>
        <v>3.75</v>
      </c>
      <c r="G11" s="6">
        <v>30</v>
      </c>
      <c r="H11" s="6">
        <f t="shared" si="3"/>
        <v>150.80000000000001</v>
      </c>
      <c r="I11" s="6">
        <f t="shared" si="4"/>
        <v>263.3</v>
      </c>
      <c r="J11" s="8">
        <f t="shared" si="1"/>
        <v>2.9861111111111113E-2</v>
      </c>
      <c r="K11" s="7">
        <f t="shared" si="2"/>
        <v>0.66111111111111087</v>
      </c>
      <c r="L11" s="7" t="s">
        <v>25</v>
      </c>
    </row>
    <row r="12" spans="1:15" ht="18" customHeight="1" x14ac:dyDescent="0.15">
      <c r="A12" s="18"/>
      <c r="B12" s="6" t="s">
        <v>3</v>
      </c>
      <c r="C12" s="6">
        <v>44</v>
      </c>
      <c r="D12" s="15">
        <v>304.10000000000002</v>
      </c>
      <c r="E12" s="15">
        <f t="shared" si="6"/>
        <v>18.800000000000011</v>
      </c>
      <c r="F12" s="6">
        <f t="shared" si="5"/>
        <v>3.3000000000000003</v>
      </c>
      <c r="G12" s="6"/>
      <c r="H12" s="6">
        <f t="shared" si="3"/>
        <v>244.5</v>
      </c>
      <c r="I12" s="6">
        <f t="shared" si="4"/>
        <v>244.5</v>
      </c>
      <c r="J12" s="8">
        <f t="shared" si="1"/>
        <v>9.0277777777777787E-3</v>
      </c>
      <c r="K12" s="7">
        <f t="shared" ref="K12:K13" si="7">K11+TIME(0,G11,0)+J12</f>
        <v>0.69097222222222199</v>
      </c>
      <c r="L12" s="7"/>
    </row>
    <row r="13" spans="1:15" ht="18" customHeight="1" x14ac:dyDescent="0.15">
      <c r="A13" s="18"/>
      <c r="B13" s="6" t="s">
        <v>32</v>
      </c>
      <c r="C13" s="6">
        <v>25</v>
      </c>
      <c r="D13" s="15">
        <f>D12+28.7</f>
        <v>332.8</v>
      </c>
      <c r="E13" s="15">
        <f t="shared" si="6"/>
        <v>28.699999999999989</v>
      </c>
      <c r="F13" s="6">
        <f t="shared" si="5"/>
        <v>1.875</v>
      </c>
      <c r="G13" s="6">
        <v>50</v>
      </c>
      <c r="H13" s="6">
        <f t="shared" si="3"/>
        <v>215.8</v>
      </c>
      <c r="I13" s="6">
        <f t="shared" si="4"/>
        <v>309.5</v>
      </c>
      <c r="J13" s="8">
        <f t="shared" si="1"/>
        <v>1.3888888888888888E-2</v>
      </c>
      <c r="K13" s="7">
        <f t="shared" si="7"/>
        <v>0.70486111111111083</v>
      </c>
      <c r="L13" s="7" t="s">
        <v>30</v>
      </c>
    </row>
    <row r="14" spans="1:15" ht="18" customHeight="1" x14ac:dyDescent="0.15">
      <c r="A14" s="18"/>
      <c r="B14" s="6"/>
      <c r="C14" s="6"/>
      <c r="D14" s="15">
        <f>D13</f>
        <v>332.8</v>
      </c>
      <c r="E14" s="15">
        <f t="shared" ref="E14" si="8">D14-D13</f>
        <v>0</v>
      </c>
      <c r="F14" s="6">
        <f t="shared" ref="F14" si="9">C14*0.9/60*5</f>
        <v>0</v>
      </c>
      <c r="G14" s="6"/>
      <c r="H14" s="6">
        <f t="shared" si="3"/>
        <v>309.5</v>
      </c>
      <c r="I14" s="6">
        <f t="shared" si="4"/>
        <v>309.5</v>
      </c>
      <c r="J14" s="8">
        <f t="shared" ref="J14" si="10">TIME(0,E14/$O$3*60,0)</f>
        <v>0</v>
      </c>
      <c r="K14" s="7">
        <v>0.41666666666666669</v>
      </c>
      <c r="L14" s="7"/>
    </row>
    <row r="15" spans="1:15" ht="18" customHeight="1" x14ac:dyDescent="0.15">
      <c r="A15" s="18"/>
      <c r="B15" s="6" t="s">
        <v>27</v>
      </c>
      <c r="C15" s="6">
        <v>40</v>
      </c>
      <c r="D15" s="15">
        <f>D13+35.3</f>
        <v>368.1</v>
      </c>
      <c r="E15" s="15">
        <f>D15-D13</f>
        <v>35.300000000000011</v>
      </c>
      <c r="F15" s="6">
        <f t="shared" si="5"/>
        <v>3</v>
      </c>
      <c r="G15" s="6"/>
      <c r="H15" s="6">
        <f t="shared" si="3"/>
        <v>274.2</v>
      </c>
      <c r="I15" s="6">
        <f t="shared" si="4"/>
        <v>274.2</v>
      </c>
      <c r="J15" s="8">
        <f t="shared" si="1"/>
        <v>1.6666666666666666E-2</v>
      </c>
      <c r="K15" s="7">
        <f>K14+TIME(0,G14,0)+J15</f>
        <v>0.43333333333333335</v>
      </c>
      <c r="L15" s="7"/>
    </row>
    <row r="16" spans="1:15" ht="18" customHeight="1" x14ac:dyDescent="0.15">
      <c r="A16" s="18"/>
      <c r="B16" s="6" t="s">
        <v>28</v>
      </c>
      <c r="C16" s="6">
        <v>40</v>
      </c>
      <c r="D16" s="15">
        <f>D15+48.7</f>
        <v>416.8</v>
      </c>
      <c r="E16" s="15">
        <f t="shared" ref="E16:E19" si="11">D16-D15</f>
        <v>48.699999999999989</v>
      </c>
      <c r="F16" s="6">
        <f t="shared" ref="F16:F23" si="12">C16*0.9/60*5</f>
        <v>3</v>
      </c>
      <c r="G16" s="6"/>
      <c r="H16" s="6">
        <f t="shared" si="3"/>
        <v>225.5</v>
      </c>
      <c r="I16" s="6">
        <f t="shared" si="4"/>
        <v>225.5</v>
      </c>
      <c r="J16" s="8">
        <f t="shared" ref="J16:J18" si="13">TIME(0,E16/$O$3*60,0)</f>
        <v>2.361111111111111E-2</v>
      </c>
      <c r="K16" s="7">
        <f t="shared" ref="K16:K18" si="14">K15+TIME(0,G15,0)+J16</f>
        <v>0.45694444444444449</v>
      </c>
      <c r="L16" s="7"/>
    </row>
    <row r="17" spans="1:12" ht="18" customHeight="1" x14ac:dyDescent="0.15">
      <c r="A17" s="18"/>
      <c r="B17" s="6" t="s">
        <v>29</v>
      </c>
      <c r="C17" s="6">
        <v>40</v>
      </c>
      <c r="D17" s="15">
        <f>D16+46.2</f>
        <v>463</v>
      </c>
      <c r="E17" s="15">
        <f t="shared" si="11"/>
        <v>46.199999999999989</v>
      </c>
      <c r="F17" s="6">
        <f t="shared" si="12"/>
        <v>3</v>
      </c>
      <c r="G17" s="6"/>
      <c r="H17" s="6">
        <f t="shared" si="3"/>
        <v>179.3</v>
      </c>
      <c r="I17" s="6">
        <f t="shared" si="4"/>
        <v>179.3</v>
      </c>
      <c r="J17" s="8">
        <f t="shared" si="13"/>
        <v>2.2222222222222223E-2</v>
      </c>
      <c r="K17" s="7">
        <f t="shared" si="14"/>
        <v>0.47916666666666669</v>
      </c>
      <c r="L17" s="7"/>
    </row>
    <row r="18" spans="1:12" ht="18" customHeight="1" x14ac:dyDescent="0.15">
      <c r="A18" s="18"/>
      <c r="B18" s="6" t="s">
        <v>26</v>
      </c>
      <c r="C18" s="6"/>
      <c r="D18" s="15">
        <f>D17+15.3</f>
        <v>478.3</v>
      </c>
      <c r="E18" s="15">
        <f t="shared" si="11"/>
        <v>15.300000000000011</v>
      </c>
      <c r="F18" s="6"/>
      <c r="G18" s="6"/>
      <c r="H18" s="6">
        <f t="shared" si="3"/>
        <v>164</v>
      </c>
      <c r="I18" s="6">
        <f t="shared" si="4"/>
        <v>164</v>
      </c>
      <c r="J18" s="8">
        <f t="shared" si="13"/>
        <v>6.9444444444444441E-3</v>
      </c>
      <c r="K18" s="7">
        <f t="shared" si="14"/>
        <v>0.4861111111111111</v>
      </c>
      <c r="L18" s="7"/>
    </row>
    <row r="19" spans="1:12" ht="18" customHeight="1" x14ac:dyDescent="0.15">
      <c r="A19" s="18"/>
      <c r="B19" s="6" t="s">
        <v>33</v>
      </c>
      <c r="C19" s="6">
        <v>3</v>
      </c>
      <c r="D19" s="15">
        <f>D18+100</f>
        <v>578.29999999999995</v>
      </c>
      <c r="E19" s="15">
        <f t="shared" si="11"/>
        <v>99.999999999999943</v>
      </c>
      <c r="F19" s="6">
        <f t="shared" si="12"/>
        <v>0.22500000000000003</v>
      </c>
      <c r="G19" s="6">
        <f>17*60</f>
        <v>1020</v>
      </c>
      <c r="H19" s="6">
        <f t="shared" si="3"/>
        <v>64</v>
      </c>
      <c r="I19" s="6">
        <f t="shared" si="4"/>
        <v>293.5</v>
      </c>
      <c r="J19" s="8">
        <f t="shared" ref="J19" si="15">TIME(0,E19/$O$3*60,0)</f>
        <v>4.8611111111111112E-2</v>
      </c>
      <c r="K19" s="7">
        <f t="shared" ref="K19" si="16">K18+TIME(0,G18,0)+J19</f>
        <v>0.53472222222222221</v>
      </c>
      <c r="L19" s="7" t="s">
        <v>30</v>
      </c>
    </row>
    <row r="20" spans="1:12" ht="18" customHeight="1" x14ac:dyDescent="0.15">
      <c r="A20" s="18"/>
      <c r="B20" s="6" t="s">
        <v>34</v>
      </c>
      <c r="C20" s="6">
        <v>3</v>
      </c>
      <c r="D20" s="15">
        <f>D19+280</f>
        <v>858.3</v>
      </c>
      <c r="E20" s="15">
        <v>280</v>
      </c>
      <c r="F20" s="6">
        <f t="shared" si="12"/>
        <v>0.22500000000000003</v>
      </c>
      <c r="G20" s="6">
        <f>17*60</f>
        <v>1020</v>
      </c>
      <c r="H20" s="6">
        <f t="shared" ref="H20" si="17">ROUNDDOWN(I19-E20*(1+$O$2),1)</f>
        <v>13.5</v>
      </c>
      <c r="I20" s="6">
        <f t="shared" ref="I20" si="18">ROUNDDOWN(H20+IF(ISBLANK(G20),0,F20*G20),1)</f>
        <v>243</v>
      </c>
      <c r="J20" s="8">
        <f t="shared" ref="J20" si="19">TIME(0,E20/$O$3*60,0)</f>
        <v>0.13680555555555554</v>
      </c>
      <c r="K20" s="7"/>
      <c r="L20" s="7" t="s">
        <v>30</v>
      </c>
    </row>
    <row r="21" spans="1:12" ht="18" customHeight="1" x14ac:dyDescent="0.15">
      <c r="A21" s="18"/>
      <c r="B21" s="6"/>
      <c r="C21" s="6"/>
      <c r="D21" s="15"/>
      <c r="E21" s="15"/>
      <c r="F21" s="6"/>
      <c r="G21" s="6"/>
      <c r="H21" s="6"/>
      <c r="I21" s="6"/>
      <c r="J21" s="8"/>
      <c r="K21" s="7"/>
      <c r="L21" s="7"/>
    </row>
    <row r="22" spans="1:12" ht="18" customHeight="1" x14ac:dyDescent="0.15">
      <c r="A22" s="18"/>
      <c r="B22" s="6" t="s">
        <v>36</v>
      </c>
      <c r="C22" s="6"/>
      <c r="D22" s="15">
        <f>D20</f>
        <v>858.3</v>
      </c>
      <c r="E22" s="15">
        <f>D22-D20</f>
        <v>0</v>
      </c>
      <c r="F22" s="6">
        <f t="shared" ref="F22" si="20">C22*0.9/60*5</f>
        <v>0</v>
      </c>
      <c r="G22" s="6"/>
      <c r="H22" s="6">
        <f>ROUNDDOWN(I20-E22*(1+$O$2),1)</f>
        <v>243</v>
      </c>
      <c r="I22" s="6">
        <f t="shared" si="4"/>
        <v>243</v>
      </c>
      <c r="J22" s="8">
        <f t="shared" ref="J22" si="21">TIME(0,E22/$O$3*60,0)</f>
        <v>0</v>
      </c>
      <c r="K22" s="7">
        <v>0.41666666666666669</v>
      </c>
      <c r="L22" s="7"/>
    </row>
    <row r="23" spans="1:12" ht="18" customHeight="1" x14ac:dyDescent="0.15">
      <c r="A23" s="18"/>
      <c r="B23" s="6" t="s">
        <v>38</v>
      </c>
      <c r="C23" s="6">
        <v>44</v>
      </c>
      <c r="D23" s="15">
        <f>D22+194</f>
        <v>1052.3</v>
      </c>
      <c r="E23" s="15">
        <f>D23-D22</f>
        <v>194</v>
      </c>
      <c r="F23" s="6">
        <f t="shared" si="12"/>
        <v>3.3000000000000003</v>
      </c>
      <c r="G23" s="6">
        <v>30</v>
      </c>
      <c r="H23" s="6">
        <f t="shared" si="3"/>
        <v>49</v>
      </c>
      <c r="I23" s="6">
        <f t="shared" si="4"/>
        <v>148</v>
      </c>
      <c r="J23" s="8">
        <f t="shared" ref="J23" si="22">TIME(0,E23/$O$3*60,0)</f>
        <v>9.4444444444444442E-2</v>
      </c>
      <c r="K23" s="7">
        <f>K22+TIME(0,G22,0)+J23</f>
        <v>0.51111111111111107</v>
      </c>
      <c r="L23" s="7" t="s">
        <v>39</v>
      </c>
    </row>
    <row r="24" spans="1:12" ht="18" customHeight="1" x14ac:dyDescent="0.15">
      <c r="A24" s="18"/>
      <c r="B24" s="6" t="s">
        <v>31</v>
      </c>
      <c r="C24" s="6">
        <v>120</v>
      </c>
      <c r="D24" s="15">
        <f>D23+125</f>
        <v>1177.3</v>
      </c>
      <c r="E24" s="15">
        <f>D24-D23</f>
        <v>125</v>
      </c>
      <c r="F24" s="6">
        <f t="shared" ref="F24" si="23">C24*0.9/60*5</f>
        <v>9</v>
      </c>
      <c r="G24" s="6">
        <v>30</v>
      </c>
      <c r="H24" s="6">
        <f>ROUNDDOWN(I23-E24*(1+$O$2),1)</f>
        <v>23</v>
      </c>
      <c r="I24" s="6">
        <f t="shared" ref="I24" si="24">ROUNDDOWN(H24+IF(ISBLANK(G24),0,F24*G24),1)</f>
        <v>293</v>
      </c>
      <c r="J24" s="8">
        <f t="shared" ref="J24" si="25">TIME(0,E24/$O$3*60,0)</f>
        <v>6.1111111111111109E-2</v>
      </c>
      <c r="K24" s="7">
        <f>K23+TIME(0,G23,0)+J24</f>
        <v>0.59305555555555556</v>
      </c>
      <c r="L24" s="7" t="s">
        <v>40</v>
      </c>
    </row>
    <row r="25" spans="1:12" ht="18" customHeight="1" x14ac:dyDescent="0.15">
      <c r="A25" s="3"/>
      <c r="B25" s="9" t="s">
        <v>37</v>
      </c>
      <c r="C25" s="9"/>
      <c r="D25" s="16">
        <f>D24+232</f>
        <v>1409.3</v>
      </c>
      <c r="E25" s="16">
        <f>D25-D24</f>
        <v>232</v>
      </c>
      <c r="F25" s="9"/>
      <c r="G25" s="9"/>
      <c r="H25" s="9">
        <f>ROUNDDOWN(I24-E25*(1+$O$2),1)</f>
        <v>61</v>
      </c>
      <c r="I25" s="9">
        <f t="shared" ref="I25" si="26">ROUNDDOWN(H25+IF(ISBLANK(G25),0,F25*G25),1)</f>
        <v>61</v>
      </c>
      <c r="J25" s="10">
        <f t="shared" ref="J25" si="27">TIME(0,E25/$O$3*60,0)</f>
        <v>0.11319444444444444</v>
      </c>
      <c r="K25" s="11">
        <f>K24+TIME(0,G24,0)+J25</f>
        <v>0.72708333333333341</v>
      </c>
      <c r="L25" s="11"/>
    </row>
    <row r="27" spans="1:12" x14ac:dyDescent="0.15">
      <c r="A27" s="1" t="s">
        <v>16</v>
      </c>
    </row>
    <row r="28" spans="1:12" x14ac:dyDescent="0.15">
      <c r="A28" s="1" t="s">
        <v>17</v>
      </c>
    </row>
    <row r="29" spans="1:12" x14ac:dyDescent="0.15">
      <c r="A29" s="1" t="s">
        <v>15</v>
      </c>
    </row>
  </sheetData>
  <phoneticPr fontId="1"/>
  <conditionalFormatting sqref="H3:H19 H22:H23">
    <cfRule type="expression" dxfId="31" priority="83">
      <formula>IF(H3&gt;290,TRUE,FALSE)</formula>
    </cfRule>
    <cfRule type="expression" dxfId="30" priority="84">
      <formula>IF(H3&lt;30,TRUE,FALSE)</formula>
    </cfRule>
  </conditionalFormatting>
  <conditionalFormatting sqref="G4:G12 G15 G25">
    <cfRule type="expression" dxfId="29" priority="81">
      <formula>IF(H4&lt;E5*(1+$O$2),TRUE,FALSE)</formula>
    </cfRule>
    <cfRule type="expression" dxfId="28" priority="82">
      <formula>IF(C4&lt;44,TRUE,FALSE)</formula>
    </cfRule>
  </conditionalFormatting>
  <conditionalFormatting sqref="I3:I19 I22:I23">
    <cfRule type="expression" dxfId="27" priority="80">
      <formula>IF(I3&gt;290,TRUE,FALSE)</formula>
    </cfRule>
  </conditionalFormatting>
  <conditionalFormatting sqref="G16">
    <cfRule type="expression" dxfId="26" priority="66">
      <formula>IF(H16&lt;E17*(1+$O$2),TRUE,FALSE)</formula>
    </cfRule>
    <cfRule type="expression" dxfId="25" priority="67">
      <formula>IF(C16&lt;44,TRUE,FALSE)</formula>
    </cfRule>
  </conditionalFormatting>
  <conditionalFormatting sqref="G17">
    <cfRule type="expression" dxfId="24" priority="61">
      <formula>IF(H17&lt;E18*(1+$O$2),TRUE,FALSE)</formula>
    </cfRule>
    <cfRule type="expression" dxfId="23" priority="62">
      <formula>IF(C17&lt;44,TRUE,FALSE)</formula>
    </cfRule>
  </conditionalFormatting>
  <conditionalFormatting sqref="G14">
    <cfRule type="expression" dxfId="22" priority="46">
      <formula>IF(H14&lt;E15*(1+$O$2),TRUE,FALSE)</formula>
    </cfRule>
    <cfRule type="expression" dxfId="21" priority="47">
      <formula>IF(C14&lt;44,TRUE,FALSE)</formula>
    </cfRule>
  </conditionalFormatting>
  <conditionalFormatting sqref="G22">
    <cfRule type="expression" dxfId="20" priority="93">
      <formula>IF(H22&lt;E31*(1+$O$2),TRUE,FALSE)</formula>
    </cfRule>
    <cfRule type="expression" dxfId="19" priority="94">
      <formula>IF(C22&lt;44,TRUE,FALSE)</formula>
    </cfRule>
  </conditionalFormatting>
  <conditionalFormatting sqref="G20:G21">
    <cfRule type="expression" dxfId="18" priority="20">
      <formula>IF(H20&lt;E30*(1+$O$2),TRUE,FALSE)</formula>
    </cfRule>
    <cfRule type="expression" dxfId="17" priority="21">
      <formula>IF(C20&lt;44,TRUE,FALSE)</formula>
    </cfRule>
  </conditionalFormatting>
  <conditionalFormatting sqref="G18">
    <cfRule type="expression" dxfId="16" priority="98">
      <formula>IF(H18&lt;#REF!*(1+$O$2),TRUE,FALSE)</formula>
    </cfRule>
    <cfRule type="expression" dxfId="15" priority="99">
      <formula>IF(C18&lt;44,TRUE,FALSE)</formula>
    </cfRule>
  </conditionalFormatting>
  <conditionalFormatting sqref="H20:H21">
    <cfRule type="expression" dxfId="14" priority="12">
      <formula>IF(H20&gt;290,TRUE,FALSE)</formula>
    </cfRule>
    <cfRule type="expression" dxfId="13" priority="13">
      <formula>IF(H20&lt;30,TRUE,FALSE)</formula>
    </cfRule>
  </conditionalFormatting>
  <conditionalFormatting sqref="I20:I21">
    <cfRule type="expression" dxfId="12" priority="11">
      <formula>IF(I20&gt;290,TRUE,FALSE)</formula>
    </cfRule>
  </conditionalFormatting>
  <conditionalFormatting sqref="H24">
    <cfRule type="expression" dxfId="11" priority="7">
      <formula>IF(H24&gt;290,TRUE,FALSE)</formula>
    </cfRule>
    <cfRule type="expression" dxfId="10" priority="8">
      <formula>IF(H24&lt;30,TRUE,FALSE)</formula>
    </cfRule>
  </conditionalFormatting>
  <conditionalFormatting sqref="I24">
    <cfRule type="expression" dxfId="9" priority="6">
      <formula>IF(I24&gt;290,TRUE,FALSE)</formula>
    </cfRule>
  </conditionalFormatting>
  <conditionalFormatting sqref="G23:G24">
    <cfRule type="expression" dxfId="8" priority="102">
      <formula>IF(H23&lt;E31*(1+$O$2),TRUE,FALSE)</formula>
    </cfRule>
    <cfRule type="expression" dxfId="7" priority="103">
      <formula>IF(C23&lt;44,TRUE,FALSE)</formula>
    </cfRule>
  </conditionalFormatting>
  <conditionalFormatting sqref="H25">
    <cfRule type="expression" dxfId="6" priority="4">
      <formula>IF(H25&gt;290,TRUE,FALSE)</formula>
    </cfRule>
    <cfRule type="expression" dxfId="5" priority="5">
      <formula>IF(H25&lt;30,TRUE,FALSE)</formula>
    </cfRule>
  </conditionalFormatting>
  <conditionalFormatting sqref="I25">
    <cfRule type="expression" dxfId="4" priority="3">
      <formula>IF(I25&gt;290,TRUE,FALSE)</formula>
    </cfRule>
  </conditionalFormatting>
  <conditionalFormatting sqref="G19">
    <cfRule type="expression" dxfId="3" priority="114">
      <formula>IF(H19&lt;E26*(1+$O$2),TRUE,FALSE)</formula>
    </cfRule>
    <cfRule type="expression" dxfId="2" priority="115">
      <formula>IF(C19&lt;44,TRUE,FALSE)</formula>
    </cfRule>
  </conditionalFormatting>
  <conditionalFormatting sqref="G13">
    <cfRule type="expression" dxfId="1" priority="1">
      <formula>IF(H13&lt;E20*(1+$O$2),TRUE,FALSE)</formula>
    </cfRule>
    <cfRule type="expression" dxfId="0" priority="2">
      <formula>IF(C13&lt;44,TRUE,FALSE)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20160716 福井往復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YASUKAWA</dc:creator>
  <cp:lastModifiedBy>Hiroshi YASUKAWA</cp:lastModifiedBy>
  <cp:lastPrinted>2015-11-05T08:22:34Z</cp:lastPrinted>
  <dcterms:created xsi:type="dcterms:W3CDTF">2015-11-03T02:32:32Z</dcterms:created>
  <dcterms:modified xsi:type="dcterms:W3CDTF">2016-07-13T09:15:24Z</dcterms:modified>
</cp:coreProperties>
</file>